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DieseArbeitsmappe" defaultThemeVersion="166925"/>
  <mc:AlternateContent xmlns:mc="http://schemas.openxmlformats.org/markup-compatibility/2006">
    <mc:Choice Requires="x15">
      <x15ac:absPath xmlns:x15ac="http://schemas.microsoft.com/office/spreadsheetml/2010/11/ac" url="G:\29++\Fortschreibung29++\Zieldefinition\KommunikationKommunen\AA_Landkreis\"/>
    </mc:Choice>
  </mc:AlternateContent>
  <xr:revisionPtr revIDLastSave="0" documentId="13_ncr:1_{04B40124-889C-4600-B91F-D1FB7F31B2BB}" xr6:coauthVersionLast="36" xr6:coauthVersionMax="47" xr10:uidLastSave="{00000000-0000-0000-0000-000000000000}"/>
  <bookViews>
    <workbookView xWindow="-120" yWindow="-120" windowWidth="24240" windowHeight="13140" tabRatio="939" xr2:uid="{356FAC54-03F2-431D-B1C9-0E7AF092A87E}"/>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F31" i="1" l="1"/>
  <c r="I77" i="1" s="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wolfgang.mayer</author>
  </authors>
  <commentList>
    <comment ref="D27" authorId="0" shapeId="0" xr:uid="{5EC1F968-C215-4F09-98B5-2B1B42FE101A}">
      <text>
        <r>
          <rPr>
            <b/>
            <sz val="9"/>
            <color indexed="81"/>
            <rFont val="Segoe UI"/>
            <family val="2"/>
          </rPr>
          <t>Angenommener Jahresertrag:
9000 MWh / a pro Anlage</t>
        </r>
      </text>
    </comment>
    <comment ref="D28" authorId="0" shapeId="0" xr:uid="{7E57DE48-8176-4B0C-894A-F6EA3F475E22}">
      <text>
        <r>
          <rPr>
            <b/>
            <sz val="9"/>
            <color indexed="81"/>
            <rFont val="Segoe UI"/>
            <family val="2"/>
          </rPr>
          <t>Angenommener Jahresertrag:
0,150 MWh / a pro m²</t>
        </r>
      </text>
    </comment>
    <comment ref="D29" authorId="0" shapeId="0" xr:uid="{AFE7BAA5-9140-4831-9014-F6C4D2AFFCDB}">
      <text>
        <r>
          <rPr>
            <b/>
            <sz val="9"/>
            <color indexed="81"/>
            <rFont val="Segoe UI"/>
            <family val="2"/>
          </rPr>
          <t>Angenommener Jahresertrag:
720 MWh  / a pro ha</t>
        </r>
      </text>
    </comment>
    <comment ref="D30" authorId="0" shapeId="0" xr:uid="{06BAB8C5-87A9-4439-B99B-A649032FF2BE}">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wolfgang.mayer</author>
  </authors>
  <commentList>
    <comment ref="H33" authorId="0" shapeId="0" xr:uid="{D53036D2-F0FF-45E7-BD07-A5F4EAD4B231}">
      <text>
        <r>
          <rPr>
            <sz val="9"/>
            <color indexed="81"/>
            <rFont val="Segoe UI"/>
            <family val="2"/>
          </rPr>
          <t>Achtung Tabellenblatt "Ausbauziel_Strom"! Erhöhte Stromnachfrage durch Power to Heat!</t>
        </r>
      </text>
    </comment>
    <comment ref="H34" authorId="0" shapeId="0" xr:uid="{0E6A8CB8-A95B-4589-AB63-9D9BAC61E03D}">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<sst xmlns="http://schemas.openxmlformats.org/spreadsheetml/2006/main" count="279" uniqueCount="195">
  <si>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</si>
  <si>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</si>
  <si>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</si>
  <si>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</si>
  <si>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</si>
  <si>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</si>
  <si>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</si>
  <si>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</si>
  <si>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</si>
  <si>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</si>
  <si>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</si>
  <si>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</si>
  <si>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</si>
  <si>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</si>
  <si>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</si>
  <si>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</si>
  <si>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</si>
  <si>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</si>
  <si>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</si>
  <si>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</si>
  <si>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</si>
  <si>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</si>
  <si>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</si>
  <si>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</si>
  <si>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</si>
  <si>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</si>
  <si>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</si>
  <si>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</si>
  <si>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</si>
  <si>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</si>
  <si>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</si>
  <si>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</si>
  <si>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</si>
  <si>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</si>
  <si>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</si>
  <si>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</si>
  <si>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</si>
  <si>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</si>
  <si>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</si>
  <si>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</si>
  <si>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</si>
  <si>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</si>
  <si>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</si>
  <si>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</si>
  <si>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</si>
  <si>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</si>
  <si>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</si>
  <si>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</si>
  <si>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</si>
  <si>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</si>
  <si>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</si>
  <si>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</si>
  <si>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</si>
  <si>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</si>
  <si>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</si>
  <si>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</si>
  <si>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</si>
  <si>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</si>
  <si>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</si>
  <si>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</si>
  <si>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</si>
  <si>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</si>
  <si>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</si>
  <si>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</si>
  <si>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</si>
  <si>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</si>
  <si>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</si>
  <si>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</si>
  <si>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</si>
  <si>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</si>
  <si>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</si>
  <si>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</si>
  <si>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</si>
  <si>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</si>
  <si>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</si>
  <si>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</si>
  <si>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</si>
  <si>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</si>
  <si>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</si>
  <si>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</si>
  <si>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</si>
  <si>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</si>
  <si>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</si>
  <si>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</si>
  <si>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</si>
  <si>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</si>
  <si>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</si>
  <si>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</si>
  <si>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</si>
  <si>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</si>
  <si>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</si>
  <si>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</si>
  <si>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</si>
  <si>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</si>
  <si>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</si>
  <si>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</si>
  <si>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</si>
  <si>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</si>
  <si>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</si>
  <si>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</si>
  <si>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</si>
  <si>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</si>
  <si>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</si>
  <si>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</si>
  <si>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</si>
  <si>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</si>
  <si>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</si>
  <si>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</si>
  <si>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</si>
  <si>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</si>
  <si>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</si>
  <si>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</si>
  <si>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</si>
  <si>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</si>
  <si>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</si>
  <si>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</si>
  <si>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</si>
  <si>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</si>
  <si>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</si>
  <si>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</si>
  <si>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</si>
  <si>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</si>
  <si>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</si>
  <si>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</si>
  <si>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</si>
  <si>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</si>
  <si>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</si>
  <si>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</si>
  <si>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</si>
  <si>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</si>
  <si>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</si>
  <si>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</si>
  <si>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</si>
  <si>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</si>
  <si>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</si>
  <si>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</si>
  <si>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</si>
  <si>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</si>
  <si>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</si>
  <si>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</si>
  <si>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</si>
  <si>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</si>
  <si>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</si>
  <si>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</si>
  <si>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</si>
  <si>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</si>
  <si>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</si>
  <si>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</si>
  <si>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</si>
  <si>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</si>
  <si>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</si>
  <si>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</si>
  <si>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</si>
  <si>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</si>
  <si>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</si>
  <si>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</si>
  <si>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</si>
  <si>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</si>
  <si>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</si>
  <si>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</si>
  <si>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</si>
  <si>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</si>
  <si>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</si>
  <si>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</si>
  <si>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</si>
  <si>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</si>
  <si>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</si>
  <si>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</si>
  <si>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</si>
  <si>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</si>
  <si>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</si>
  <si>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</si>
  <si>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</si>
  <si>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</si>
  <si>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</si>
  <si>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</si>
  <si>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</si>
  <si>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</si>
  <si>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</si>
  <si>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</si>
  <si>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</si>
  <si>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</si>
  <si>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</si>
  <si>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</si>
  <si>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</si>
  <si>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</si>
  <si>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</si>
  <si>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</si>
  <si>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</si>
  <si>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</si>
  <si>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</si>
  <si>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Landkreis München</t>
  </si>
  <si>
    <t>Stand: 09.02.2023</t>
  </si>
  <si>
    <t>Der Landkreis München setzt sich folgende Ziele:</t>
  </si>
  <si>
    <t>Der Landkreis München sich folgende Ziele: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</si>
</sst>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xr:uid="{BDDCD576-6A94-40EB-A471-99C50DA75D85}"/>
    <cellStyle name="Beschreibung" xfId="7" xr:uid="{ABFC937D-E58A-4F56-8F94-5D3A65AA2EF4}"/>
    <cellStyle name="FESTWERT" xfId="8" xr:uid="{0BF3020C-4377-402F-84B6-7471BA9ED036}"/>
    <cellStyle name="FORMEL" xfId="9" xr:uid="{3884780E-AB8A-4403-97DB-628F5C768793}"/>
    <cellStyle name="GLIEDERUNG" xfId="3" xr:uid="{1585B160-82FB-462D-8A08-5233AA837D29}"/>
    <cellStyle name="Header" xfId="10" xr:uid="{ADC3C6D4-5FF2-4E9A-AAE0-B79D612FD744}"/>
    <cellStyle name="Link" xfId="2" builtinId="8"/>
    <cellStyle name="Prozent" xfId="1" builtinId="5"/>
    <cellStyle name="Prozent 2" xfId="12" xr:uid="{073E785E-E6BC-457E-8B63-9D9EAD872202}"/>
    <cellStyle name="Spalte" xfId="6" xr:uid="{28E146CA-E76C-4697-BD24-91D1289F9CF4}"/>
    <cellStyle name="Standard" xfId="0" builtinId="0"/>
    <cellStyle name="Standard 2" xfId="11" xr:uid="{04DAE234-FAE8-49F3-B261-38C6FC7CC82A}"/>
    <cellStyle name="Veränderbar" xfId="4" xr:uid="{D4F18ECE-226C-4205-8258-7637406C7EA0}"/>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2040</c:v>
                </c:pt>
              </c:numCache>
            </c:numRef>
          </c:cat>
          <c:val>
            <c:numRef>
              <c:f>Ausbauziel_Strom!$D$76:$E$76</c:f>
              <c:numCache>
                <c:formatCode>#,##0</c:formatCode>
                <c:ptCount val="2"/>
                <c:pt idx="0">
                  <c:v>430956.67</c:v>
                </c:pt>
                <c:pt idx="1">
                  <c:v>324490.67791641824</c:v>
                </c:pt>
              </c:numCache>
            </c:numRef>
          </c:val>
          <c:extLs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2040</c:v>
                </c:pt>
              </c:numCache>
            </c:numRef>
          </c:cat>
          <c:val>
            <c:numRef>
              <c:f>Ausbauziel_Strom!$D$77:$E$77</c:f>
              <c:numCache>
                <c:formatCode>#,##0</c:formatCode>
                <c:ptCount val="2"/>
                <c:pt idx="0">
                  <c:v>1452310.3299999998</c:v>
                </c:pt>
                <c:pt idx="1">
                  <c:v>2124940.6323733269</c:v>
                </c:pt>
              </c:numCache>
            </c:numRef>
          </c:val>
          <c:extLs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2040</c:v>
                </c:pt>
              </c:numCache>
            </c:numRef>
          </c:cat>
          <c:val>
            <c:numRef>
              <c:f>Ausbauziel_Strom!$D$78:$E$78</c:f>
              <c:numCache>
                <c:formatCode>#,##0</c:formatCode>
                <c:ptCount val="2"/>
                <c:pt idx="0">
                  <c:v>54858.940000000017</c:v>
                </c:pt>
                <c:pt idx="1">
                  <c:v>35334.016630950922</c:v>
                </c:pt>
              </c:numCache>
            </c:numRef>
          </c:val>
          <c:extLs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2040</c:v>
                </c:pt>
              </c:numCache>
            </c:numRef>
          </c:cat>
          <c:val>
            <c:numRef>
              <c:f>Ausbauziel_Strom!$D$79:$E$79</c:f>
              <c:numCache>
                <c:formatCode>#,##0</c:formatCode>
                <c:ptCount val="2"/>
                <c:pt idx="1">
                  <c:v>913875.2940772532</c:v>
                </c:pt>
              </c:numCache>
            </c:numRef>
          </c:val>
          <c:extLs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2040</c:v>
                </c:pt>
              </c:numCache>
            </c:numRef>
          </c:cat>
          <c:val>
            <c:numRef>
              <c:f>Ausbauziel_Strom!$D$80:$E$80</c:f>
              <c:numCache>
                <c:formatCode>#,##0</c:formatCode>
                <c:ptCount val="2"/>
                <c:pt idx="1">
                  <c:v>0</c:v>
                </c:pt>
              </c:numCache>
            </c:numRef>
          </c:val>
          <c:extLs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1239785440"/>
        <c:axId val="1239787520"/>
      </c:barChart>
      <c:catAx>
        <c:axId val="1239785440"/>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239787520"/>
        <c:crosses val="autoZero"/>
        <c:auto val="1"/>
        <c:lblAlgn val="ctr"/>
        <c:lblOffset val="100"/>
        <c:noMultiLvlLbl val="0"/>
      </c:catAx>
      <c:valAx>
        <c:axId val="123978752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239785440"/>
        <c:crosses val="autoZero"/>
        <c:crossBetween val="between"/>
      </c:valAx>
      <c:spPr>
        <a:noFill/>
        <a:ln>
          <a:noFill/>
        </a:ln>
        <a:effectLst/>
      </c:spPr>
    </c:plotArea>
    <c:legend>
      <c:legendPos val="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BC-48FE-83D1-6717E96889E2}"/>
                </c:ext>
              </c:extLst>
            </c:dLbl>
            <c:dLbl>
              <c:idx val="1"/>
              <c:layout>
                <c:manualLayout>
                  <c:x val="-2.9984842898016176E-3"/>
                  <c:y val="0.1063734071345564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BC-48FE-83D1-6717E96889E2}"/>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2040</c:v>
                </c:pt>
              </c:numCache>
            </c:numRef>
          </c:cat>
          <c:val>
            <c:numRef>
              <c:f>Ausbauziel_Strom!$H$77:$I$77</c:f>
              <c:numCache>
                <c:formatCode>#,##0</c:formatCode>
                <c:ptCount val="2"/>
                <c:pt idx="0">
                  <c:v>296474</c:v>
                </c:pt>
                <c:pt idx="1">
                  <c:v>296474</c:v>
                </c:pt>
              </c:numCache>
            </c:numRef>
          </c:val>
          <c:extLs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58BC-48FE-83D1-6717E96889E2}"/>
                </c:ext>
              </c:extLst>
            </c:dLbl>
            <c:dLbl>
              <c:idx val="1"/>
              <c:layout>
                <c:manualLayout>
                  <c:x val="-4.4977264347024265E-3"/>
                  <c:y val="0.102942006904409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BC-48FE-83D1-6717E96889E2}"/>
                </c:ext>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2040</c:v>
                </c:pt>
              </c:numCache>
            </c:numRef>
          </c:cat>
          <c:val>
            <c:numRef>
              <c:f>Ausbauziel_Strom!$H$79:$I$79</c:f>
              <c:numCache>
                <c:formatCode>#,##0</c:formatCode>
                <c:ptCount val="2"/>
                <c:pt idx="0">
                  <c:v>0</c:v>
                </c:pt>
                <c:pt idx="1">
                  <c:v>0</c:v>
                </c:pt>
              </c:numCache>
            </c:numRef>
          </c:val>
          <c:extLs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58BC-48FE-83D1-6717E96889E2}"/>
                </c:ext>
              </c:extLst>
            </c:dLbl>
            <c:dLbl>
              <c:idx val="1"/>
              <c:layout>
                <c:manualLayout>
                  <c:x val="4.7260024108253876E-3"/>
                  <c:y val="0.1106581416523042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BC-48FE-83D1-6717E96889E2}"/>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2040</c:v>
                </c:pt>
              </c:numCache>
            </c:numRef>
          </c:cat>
          <c:val>
            <c:numRef>
              <c:f>Ausbauziel_Strom!$H$80:$I$80</c:f>
              <c:numCache>
                <c:formatCode>#,##0</c:formatCode>
                <c:ptCount val="2"/>
                <c:pt idx="0">
                  <c:v>0</c:v>
                </c:pt>
                <c:pt idx="1">
                  <c:v>0</c:v>
                </c:pt>
              </c:numCache>
            </c:numRef>
          </c:val>
          <c:extLs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58BC-48FE-83D1-6717E96889E2}"/>
                </c:ext>
              </c:extLst>
            </c:dLbl>
            <c:dLbl>
              <c:idx val="1"/>
              <c:layout>
                <c:manualLayout>
                  <c:x val="4.2310064552476918E-3"/>
                  <c:y val="0.110658220726812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BC-48FE-83D1-6717E96889E2}"/>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2040</c:v>
                </c:pt>
              </c:numCache>
            </c:numRef>
          </c:cat>
          <c:val>
            <c:numRef>
              <c:f>Ausbauziel_Strom!$H$81:$I$81</c:f>
              <c:numCache>
                <c:formatCode>#,##0</c:formatCode>
                <c:ptCount val="2"/>
                <c:pt idx="0">
                  <c:v>0</c:v>
                </c:pt>
                <c:pt idx="1">
                  <c:v>0</c:v>
                </c:pt>
              </c:numCache>
            </c:numRef>
          </c:val>
          <c:extLs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58BC-48FE-83D1-6717E96889E2}"/>
                </c:ext>
              </c:extLst>
            </c:dLbl>
            <c:dLbl>
              <c:idx val="1"/>
              <c:layout>
                <c:manualLayout>
                  <c:x val="2.9667278236501109E-2"/>
                  <c:y val="0.1046486703595113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BC-48FE-83D1-6717E96889E2}"/>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2040</c:v>
                </c:pt>
              </c:numCache>
            </c:numRef>
          </c:cat>
          <c:val>
            <c:numRef>
              <c:f>Ausbauziel_Strom!$H$82:$I$82</c:f>
              <c:numCache>
                <c:formatCode>#,##0</c:formatCode>
                <c:ptCount val="2"/>
                <c:pt idx="0">
                  <c:v>0</c:v>
                </c:pt>
                <c:pt idx="1">
                  <c:v>0</c:v>
                </c:pt>
              </c:numCache>
            </c:numRef>
          </c:val>
          <c:extLs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5D-4D9D-A85A-46EBBA1BED0A}"/>
                </c:ext>
              </c:extLst>
            </c:dLbl>
            <c:dLbl>
              <c:idx val="1"/>
              <c:layout>
                <c:manualLayout>
                  <c:x val="-1.9312149881747297E-3"/>
                  <c:y val="0.10889686428478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B6-48D6-A872-19A8B07065C4}"/>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2040</c:v>
                </c:pt>
              </c:numCache>
            </c:numRef>
          </c:cat>
          <c:val>
            <c:numRef>
              <c:f>Ausbauziel_Strom!$H$78:$I$78</c:f>
              <c:numCache>
                <c:formatCode>#,##0</c:formatCode>
                <c:ptCount val="2"/>
                <c:pt idx="0">
                  <c:v>1684090.5700000003</c:v>
                </c:pt>
                <c:pt idx="1">
                  <c:v>3102166.6209979495</c:v>
                </c:pt>
              </c:numCache>
            </c:numRef>
          </c:val>
          <c:extLs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1546923679"/>
        <c:axId val="1546922847"/>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BC-48FE-83D1-6717E96889E2}"/>
                </c:ext>
              </c:extLst>
            </c:dLbl>
            <c:dLbl>
              <c:idx val="1"/>
              <c:layout>
                <c:manualLayout>
                  <c:x val="-5.8166826866272184E-2"/>
                  <c:y val="-0.10577667854083921"/>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BC-48FE-83D1-6717E96889E2}"/>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1980564.5700000003</c:v>
                </c:pt>
                <c:pt idx="1">
                  <c:v>3398640.6209979495</c:v>
                </c:pt>
              </c:numCache>
            </c:numRef>
          </c:xVal>
          <c:yVal>
            <c:numRef>
              <c:f>Ausbauziel_Strom!$H$84:$I$84</c:f>
              <c:numCache>
                <c:formatCode>General</c:formatCode>
                <c:ptCount val="2"/>
                <c:pt idx="0">
                  <c:v>2018.5</c:v>
                </c:pt>
                <c:pt idx="1">
                  <c:v>2035.5</c:v>
                </c:pt>
              </c:numCache>
            </c:numRef>
          </c:yVal>
          <c:smooth val="0"/>
          <c:extLs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1520040623"/>
        <c:axId val="1520053519"/>
      </c:scatterChart>
      <c:valAx>
        <c:axId val="1520040623"/>
        <c:scaling>
          <c:orientation val="minMax"/>
        </c:scaling>
        <c:delete val="1"/>
        <c:axPos val="t"/>
        <c:numFmt formatCode="#,##0" sourceLinked="1"/>
        <c:majorTickMark val="out"/>
        <c:minorTickMark val="none"/>
        <c:tickLblPos val="nextTo"/>
        <c:crossAx val="1520053519"/>
        <c:crosses val="max"/>
        <c:crossBetween val="midCat"/>
      </c:valAx>
      <c:valAx>
        <c:axId val="1520053519"/>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1520040623"/>
        <c:crosses val="autoZero"/>
        <c:crossBetween val="midCat"/>
      </c:valAx>
      <c:valAx>
        <c:axId val="1546922847"/>
        <c:scaling>
          <c:orientation val="minMax"/>
        </c:scaling>
        <c:delete val="0"/>
        <c:axPos val="b"/>
        <c:numFmt formatCode="#,###" sourceLinked="0"/>
        <c:majorTickMark val="out"/>
        <c:minorTickMark val="none"/>
        <c:tickLblPos val="nextTo"/>
        <c:txPr>
          <a:bodyPr/>
          <a:lstStyle/>
          <a:p>
            <a:pPr algn="ctr">
              <a:defRPr sz="800"/>
            </a:pPr>
            <a:endParaRPr lang="de-DE"/>
          </a:p>
        </c:txPr>
        <c:crossAx val="1546923679"/>
        <c:crosses val="autoZero"/>
        <c:crossBetween val="between"/>
      </c:valAx>
      <c:catAx>
        <c:axId val="1546923679"/>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546922847"/>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2040</c:v>
                </c:pt>
              </c:numCache>
            </c:numRef>
          </c:cat>
          <c:val>
            <c:numRef>
              <c:f>Ausbauziel_Wärme!$D$78:$E$78</c:f>
              <c:numCache>
                <c:formatCode>#,##0</c:formatCode>
                <c:ptCount val="2"/>
                <c:pt idx="0">
                  <c:v>1810541.5900000003</c:v>
                </c:pt>
                <c:pt idx="1">
                  <c:v>1604405.9900000005</c:v>
                </c:pt>
              </c:numCache>
            </c:numRef>
          </c:val>
          <c:extLs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2040</c:v>
                </c:pt>
              </c:numCache>
            </c:numRef>
          </c:cat>
          <c:val>
            <c:numRef>
              <c:f>Ausbauziel_Wärme!$D$79:$E$79</c:f>
              <c:numCache>
                <c:formatCode>#,##0</c:formatCode>
                <c:ptCount val="2"/>
                <c:pt idx="0">
                  <c:v>2169002.39</c:v>
                </c:pt>
                <c:pt idx="1">
                  <c:v>3949808.9447230753</c:v>
                </c:pt>
              </c:numCache>
            </c:numRef>
          </c:val>
          <c:extLs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2040</c:v>
                </c:pt>
              </c:numCache>
            </c:numRef>
          </c:cat>
          <c:val>
            <c:numRef>
              <c:f>Ausbauziel_Wärme!$D$80:$E$80</c:f>
              <c:numCache>
                <c:formatCode>#,##0</c:formatCode>
                <c:ptCount val="2"/>
                <c:pt idx="0">
                  <c:v>132337.78999999998</c:v>
                </c:pt>
                <c:pt idx="1">
                  <c:v>138577.84878898758</c:v>
                </c:pt>
              </c:numCache>
            </c:numRef>
          </c:val>
          <c:extLs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1239785440"/>
        <c:axId val="1239787520"/>
      </c:barChart>
      <c:catAx>
        <c:axId val="1239785440"/>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239787520"/>
        <c:crosses val="autoZero"/>
        <c:auto val="1"/>
        <c:lblAlgn val="ctr"/>
        <c:lblOffset val="100"/>
        <c:noMultiLvlLbl val="0"/>
      </c:catAx>
      <c:valAx>
        <c:axId val="1239787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239785440"/>
        <c:crosses val="autoZero"/>
        <c:crossBetween val="between"/>
      </c:valAx>
      <c:spPr>
        <a:noFill/>
        <a:ln>
          <a:noFill/>
        </a:ln>
        <a:effectLst/>
      </c:spPr>
    </c:plotArea>
    <c:legend>
      <c:legendPos val="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2040</c:v>
                </c:pt>
              </c:numCache>
            </c:numRef>
          </c:cat>
          <c:val>
            <c:numRef>
              <c:f>Ausbauziel_Wärme!$H$79:$I$79</c:f>
              <c:numCache>
                <c:formatCode>#,##0</c:formatCode>
                <c:ptCount val="2"/>
                <c:pt idx="0">
                  <c:v>717711</c:v>
                </c:pt>
                <c:pt idx="1">
                  <c:v>0</c:v>
                </c:pt>
              </c:numCache>
            </c:numRef>
          </c:val>
          <c:extLs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2040</c:v>
                </c:pt>
              </c:numCache>
            </c:numRef>
          </c:cat>
          <c:val>
            <c:numRef>
              <c:f>Ausbauziel_Wärme!$H$80:$I$80</c:f>
              <c:numCache>
                <c:formatCode>#,##0</c:formatCode>
                <c:ptCount val="2"/>
                <c:pt idx="0">
                  <c:v>3398292</c:v>
                </c:pt>
                <c:pt idx="1">
                  <c:v>5692792.7835120633</c:v>
                </c:pt>
              </c:numCache>
            </c:numRef>
          </c:val>
          <c:extLs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1546923679"/>
        <c:axId val="1546922847"/>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4116003</c:v>
                </c:pt>
                <c:pt idx="1">
                  <c:v>5692792.7835120633</c:v>
                </c:pt>
              </c:numCache>
            </c:numRef>
          </c:xVal>
          <c:yVal>
            <c:numRef>
              <c:f>Ausbauziel_Wärme!$H$84:$I$84</c:f>
              <c:numCache>
                <c:formatCode>General</c:formatCode>
                <c:ptCount val="2"/>
                <c:pt idx="0">
                  <c:v>2018.5</c:v>
                </c:pt>
                <c:pt idx="1">
                  <c:v>2035.5</c:v>
                </c:pt>
              </c:numCache>
            </c:numRef>
          </c:yVal>
          <c:smooth val="0"/>
          <c:extLs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1520040623"/>
        <c:axId val="1520053519"/>
      </c:scatterChart>
      <c:valAx>
        <c:axId val="1520040623"/>
        <c:scaling>
          <c:orientation val="minMax"/>
        </c:scaling>
        <c:delete val="1"/>
        <c:axPos val="t"/>
        <c:numFmt formatCode="#,##0" sourceLinked="1"/>
        <c:majorTickMark val="out"/>
        <c:minorTickMark val="none"/>
        <c:tickLblPos val="nextTo"/>
        <c:crossAx val="1520053519"/>
        <c:crosses val="max"/>
        <c:crossBetween val="midCat"/>
      </c:valAx>
      <c:valAx>
        <c:axId val="1520053519"/>
        <c:scaling>
          <c:orientation val="minMax"/>
          <c:max val="2044"/>
          <c:min val="2010"/>
        </c:scaling>
        <c:delete val="1"/>
        <c:axPos val="l"/>
        <c:numFmt formatCode="#,##0" sourceLinked="0"/>
        <c:majorTickMark val="out"/>
        <c:minorTickMark val="none"/>
        <c:tickLblPos val="nextTo"/>
        <c:crossAx val="1520040623"/>
        <c:crosses val="autoZero"/>
        <c:crossBetween val="midCat"/>
      </c:valAx>
      <c:valAx>
        <c:axId val="1546922847"/>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546923679"/>
        <c:crosses val="autoZero"/>
        <c:crossBetween val="between"/>
      </c:valAx>
      <c:catAx>
        <c:axId val="1546923679"/>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1546922847"/>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620433.3241995899</c:v>
                </c:pt>
              </c:numCache>
            </c:numRef>
          </c:val>
          <c:extLs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1366270.2680428952</c:v>
                </c:pt>
              </c:numCache>
            </c:numRef>
          </c:val>
          <c:extLs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0</c:v>
                </c:pt>
              </c:numCache>
            </c:numRef>
          </c:val>
          <c:extLs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70630863"/>
        <c:axId val="70632111"/>
      </c:barChart>
      <c:catAx>
        <c:axId val="70630863"/>
        <c:scaling>
          <c:orientation val="minMax"/>
        </c:scaling>
        <c:delete val="1"/>
        <c:axPos val="l"/>
        <c:numFmt formatCode="General" sourceLinked="1"/>
        <c:majorTickMark val="none"/>
        <c:minorTickMark val="none"/>
        <c:tickLblPos val="nextTo"/>
        <c:crossAx val="70632111"/>
        <c:crosses val="autoZero"/>
        <c:auto val="1"/>
        <c:lblAlgn val="ctr"/>
        <c:lblOffset val="100"/>
        <c:noMultiLvlLbl val="0"/>
      </c:catAx>
      <c:valAx>
        <c:axId val="70632111"/>
        <c:scaling>
          <c:orientation val="minMax"/>
        </c:scaling>
        <c:delete val="1"/>
        <c:axPos val="b"/>
        <c:numFmt formatCode="#,##0\ &quot;t/a&quot;" sourceLinked="1"/>
        <c:majorTickMark val="none"/>
        <c:minorTickMark val="none"/>
        <c:tickLblPos val="nextTo"/>
        <c:crossAx val="706308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835BC-72B5-48E1-9414-EB45577254FC}">
  <sheetPr codeName="Tabelle6"/>
  <dimension ref="B3:D18"/>
  <sheetViews>
    <sheetView tabSelected="1"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xr:uid="{D8F513B2-A7CE-41FA-A0C4-D4311029C8DC}"/>
    <hyperlink ref="B8" location="Ausbauziel_Wärme!A1" display="Ausbauziel_Wärme" xr:uid="{5BE969DD-51E2-4B8B-8010-454BAD113642}"/>
    <hyperlink ref="B14" location="'Nachfrage &amp; Erzeugung'!A1" display="Nachfrage &amp; Erzeugung" xr:uid="{7A91AAB8-86A1-46CE-86D6-EE28ED99FB2A}"/>
    <hyperlink ref="B12" location="'Basis-Annahmen'!A1" display="Basis-Annahmen" xr:uid="{F5479AE9-6ABC-4EAF-A769-5684A46D19F5}"/>
    <hyperlink ref="B16" location="Potenzial!A1" display="Potenzial" xr:uid="{C067BB47-AB2C-4399-A049-CCF0FD1123DA}"/>
    <hyperlink ref="B10" location="THG_Emissionen!A1" display="THG_Emissionen" xr:uid="{29821A24-042C-47E6-B787-61AA8DEE46DA}"/>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ABC3F-C69F-43C9-B3AC-D26F858AC9DD}">
  <sheetPr codeName="Tabelle1"/>
  <dimension ref="A1:V92"/>
  <sheetViews>
    <sheetView view="pageLayout" zoomScaleNormal="85" workbookViewId="0">
      <selection activeCell="J30" sqref="J30:K30"/>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2040:</v>
      </c>
      <c r="E13" s="200"/>
      <c r="F13" s="200"/>
      <c r="G13" s="200"/>
      <c r="H13" s="200"/>
      <c r="I13" s="201" t="str">
        <f>FIXED(E82,0)&amp;" MWh/a"</f>
        <v>3.398.641 MWh/a</v>
      </c>
      <c r="J13" s="201"/>
      <c r="K13" s="201"/>
      <c r="L13" s="10"/>
    </row>
    <row r="14" spans="1:14" ht="18" customHeight="1" x14ac:dyDescent="0.2">
      <c r="A14" s="10"/>
      <c r="B14" s="10"/>
      <c r="D14" s="200" t="str">
        <f>"Zunahme der Stromnachfrage von 2018 bis "&amp;'Basis-Annahmen'!E5&amp;":"</f>
        <v>Zunahme der Stromnachfrage von 2018 bis 2040:</v>
      </c>
      <c r="E14" s="200"/>
      <c r="F14" s="200"/>
      <c r="G14" s="200"/>
      <c r="H14" s="200"/>
      <c r="I14" s="201" t="str">
        <f>""&amp;FIXED(E83*100,0)&amp;" %"</f>
        <v>72 %</v>
      </c>
      <c r="J14" s="201"/>
      <c r="K14" s="201"/>
      <c r="L14" s="10"/>
    </row>
    <row r="15" spans="1:14" ht="18" customHeight="1" x14ac:dyDescent="0.2">
      <c r="B15" s="10"/>
      <c r="D15" s="200" t="str">
        <f>"Anteil der Mobilität an der Stromnachfrage in "&amp;'Basis-Annahmen'!E5&amp;":"</f>
        <v>Anteil der Mobilität an der Stromnachfrage in 2040:</v>
      </c>
      <c r="E15" s="200"/>
      <c r="F15" s="200"/>
      <c r="G15" s="200"/>
      <c r="H15" s="200"/>
      <c r="I15" s="202" t="str">
        <f>""&amp;FIXED(E84*100,0,FALSE)&amp;" %"</f>
        <v>27 %</v>
      </c>
      <c r="J15" s="202"/>
      <c r="K15" s="202"/>
      <c r="L15" s="10"/>
    </row>
    <row r="16" spans="1:14" ht="18" customHeight="1" x14ac:dyDescent="0.2">
      <c r="A16" s="10"/>
      <c r="B16" s="10"/>
      <c r="D16" s="200" t="str">
        <f>"Anteil der Wärme an der Stromnachfrage in "&amp;'Basis-Annahmen'!E5&amp;":"</f>
        <v>Anteil der Wärme an der Stromnachfrage in 2040:</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2040</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5715000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1031021.0367075</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3905280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f>H77</f>
        <v>296474</v>
      </c>
      <c r="G31" s="212"/>
      <c r="H31" s="206"/>
      <c r="I31" s="206"/>
      <c r="J31" s="207"/>
      <c r="K31" s="207"/>
      <c r="L31" s="162"/>
    </row>
    <row r="32" spans="1:22" ht="23.25" customHeight="1" x14ac:dyDescent="0.2">
      <c r="A32" s="14"/>
      <c r="B32" s="209" t="s">
        <v>32</v>
      </c>
      <c r="C32" s="209"/>
      <c r="D32" s="159"/>
      <c r="E32" s="159"/>
      <c r="F32" s="210">
        <f>SUM(F27:F31)</f>
        <v>296474</v>
      </c>
      <c r="G32" s="210"/>
      <c r="H32" s="224">
        <f>SUM(H27:H31)</f>
        <v>10651301.0367075</v>
      </c>
      <c r="I32" s="224"/>
      <c r="J32" s="221">
        <f>IF(H32&gt;0,F32/H32,0)</f>
        <v>2.7834533920153403E-2</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2040:</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2040</v>
      </c>
      <c r="F75" s="175"/>
      <c r="G75" s="176"/>
      <c r="H75" s="192">
        <f>'Nachfrage &amp; Erzeugung'!$C$9</f>
        <v>2018</v>
      </c>
      <c r="I75" s="174">
        <f>'Basis-Annahmen'!E5</f>
        <v>2040</v>
      </c>
      <c r="J75" s="154"/>
      <c r="K75" s="172"/>
      <c r="L75" s="172"/>
    </row>
    <row r="76" spans="1:12" x14ac:dyDescent="0.2">
      <c r="A76" s="154"/>
      <c r="B76" s="154"/>
      <c r="C76" s="176" t="str">
        <f>'Nachfrage &amp; Erzeugung'!B11</f>
        <v>Private Haushalte</v>
      </c>
      <c r="D76" s="184">
        <f>'Nachfrage &amp; Erzeugung'!C11</f>
        <v>430956.67</v>
      </c>
      <c r="E76" s="184">
        <f>LOOKUP('Basis-Annahmen'!E5,'Nachfrage &amp; Erzeugung'!D9:G9,'Nachfrage &amp; Erzeugung'!D11:G11)</f>
        <v>324490.67791641824</v>
      </c>
      <c r="F76" s="175"/>
      <c r="G76" s="175"/>
      <c r="H76" s="175"/>
      <c r="I76" s="175"/>
      <c r="J76" s="154"/>
      <c r="K76" s="172"/>
      <c r="L76" s="172"/>
    </row>
    <row r="77" spans="1:12" x14ac:dyDescent="0.2">
      <c r="A77" s="154"/>
      <c r="B77" s="154"/>
      <c r="C77" s="176" t="str">
        <f>'Nachfrage &amp; Erzeugung'!B12</f>
        <v>GHD / Industrie</v>
      </c>
      <c r="D77" s="184">
        <f>'Nachfrage &amp; Erzeugung'!C12</f>
        <v>1452310.3299999998</v>
      </c>
      <c r="E77" s="184">
        <f>LOOKUP('Basis-Annahmen'!E5,'Nachfrage &amp; Erzeugung'!D9:G9,'Nachfrage &amp; Erzeugung'!D12:G12)</f>
        <v>2124940.6323733269</v>
      </c>
      <c r="F77" s="175"/>
      <c r="G77" s="176" t="s">
        <v>103</v>
      </c>
      <c r="H77" s="184">
        <f>'Nachfrage &amp; Erzeugung'!C21</f>
        <v>296474</v>
      </c>
      <c r="I77" s="184">
        <f>F31</f>
        <v>296474</v>
      </c>
      <c r="J77" s="154"/>
      <c r="K77" s="172"/>
      <c r="L77" s="172"/>
    </row>
    <row r="78" spans="1:12" x14ac:dyDescent="0.2">
      <c r="A78" s="154"/>
      <c r="B78" s="154"/>
      <c r="C78" s="176" t="str">
        <f>'Nachfrage &amp; Erzeugung'!B13</f>
        <v>Kommunale Einrichtungen</v>
      </c>
      <c r="D78" s="184">
        <f>'Nachfrage &amp; Erzeugung'!C13</f>
        <v>54858.940000000017</v>
      </c>
      <c r="E78" s="184">
        <f>LOOKUP('Basis-Annahmen'!E5,'Nachfrage &amp; Erzeugung'!D9:G9,'Nachfrage &amp; Erzeugung'!D13:G13)</f>
        <v>35334.016630950922</v>
      </c>
      <c r="F78" s="175"/>
      <c r="G78" s="176" t="str">
        <f>'Nachfrage &amp; Erzeugung'!B29</f>
        <v>Nicht aus lokalen EE gedeckter Strombedarf</v>
      </c>
      <c r="H78" s="184">
        <f>'Nachfrage &amp; Erzeugung'!C29</f>
        <v>1684090.5700000003</v>
      </c>
      <c r="I78" s="184">
        <f>MAX(0,E82-SUM(I79:I82)-I77)</f>
        <v>3102166.6209979495</v>
      </c>
      <c r="J78" s="154"/>
      <c r="K78" s="172"/>
      <c r="L78" s="172"/>
    </row>
    <row r="79" spans="1:12" x14ac:dyDescent="0.2">
      <c r="A79" s="154"/>
      <c r="B79" s="154"/>
      <c r="C79" s="176" t="str">
        <f>'Nachfrage &amp; Erzeugung'!B14</f>
        <v>Mobilität</v>
      </c>
      <c r="D79" s="184"/>
      <c r="E79" s="184">
        <f>LOOKUP('Basis-Annahmen'!E5,'Nachfrage &amp; Erzeugung'!D9:G9,'Nachfrage &amp; Erzeugung'!D14:G14)</f>
        <v>913875.2940772532</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1980564.5700000003</v>
      </c>
      <c r="E82" s="184">
        <f>LOOKUP('Basis-Annahmen'!E5,'Nachfrage &amp; Erzeugung'!D9:G9,'Nachfrage &amp; Erzeugung'!D10:G10)</f>
        <v>3398640.6209979495</v>
      </c>
      <c r="F82" s="175"/>
      <c r="G82" s="176" t="s">
        <v>24</v>
      </c>
      <c r="H82" s="184">
        <v>0</v>
      </c>
      <c r="I82" s="184">
        <f>F30</f>
        <v>0</v>
      </c>
      <c r="J82" s="154"/>
      <c r="K82" s="172"/>
      <c r="L82" s="172"/>
    </row>
    <row r="83" spans="1:12" x14ac:dyDescent="0.2">
      <c r="A83" s="154"/>
      <c r="B83" s="154"/>
      <c r="C83" s="176" t="s">
        <v>100</v>
      </c>
      <c r="D83" s="175"/>
      <c r="E83" s="186">
        <f>(E82-D82)/D82</f>
        <v>0.71599586929798964</v>
      </c>
      <c r="F83" s="175"/>
      <c r="G83" s="176"/>
      <c r="H83" s="184"/>
      <c r="I83" s="184"/>
      <c r="J83" s="154"/>
      <c r="K83" s="172"/>
      <c r="L83" s="172"/>
    </row>
    <row r="84" spans="1:12" x14ac:dyDescent="0.2">
      <c r="A84" s="154"/>
      <c r="B84" s="154"/>
      <c r="C84" s="176" t="s">
        <v>101</v>
      </c>
      <c r="D84" s="175"/>
      <c r="E84" s="186">
        <f>E79/E82</f>
        <v>0.26889435983052251</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xr:uid="{8885F6AE-DE8C-41C2-BDCC-87D5C5FA311B}"/>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9D87-9B69-4574-BC64-2711FDB09A6E}">
  <sheetPr codeName="Tabelle2"/>
  <dimension ref="A1:L93"/>
  <sheetViews>
    <sheetView view="pageLayout" zoomScale="70" zoomScaleNormal="100" zoomScalePageLayoutView="7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2040:</v>
      </c>
      <c r="E13" s="200"/>
      <c r="F13" s="200"/>
      <c r="G13" s="200"/>
      <c r="H13" s="200"/>
      <c r="I13" s="201" t="str">
        <f>""&amp;FIXED(E82,0,FALSE)&amp;" MWh/a"</f>
        <v>5.692.793 MWh/a</v>
      </c>
      <c r="J13" s="201"/>
      <c r="K13" s="201"/>
      <c r="L13" s="10"/>
    </row>
    <row r="14" spans="1:12" ht="18" customHeight="1" x14ac:dyDescent="0.2">
      <c r="A14" s="10"/>
      <c r="B14" s="10"/>
      <c r="D14" s="200" t="s">
        <v>185</v>
      </c>
      <c r="E14" s="200"/>
      <c r="F14" s="200"/>
      <c r="G14" s="200"/>
      <c r="H14" s="200"/>
      <c r="I14" s="201" t="str">
        <f>""&amp;FIXED(D82,0,FALSE)&amp;" MWh/a"</f>
        <v>4.116.003 MWh/a</v>
      </c>
      <c r="J14" s="201"/>
      <c r="K14" s="201"/>
      <c r="L14" s="10"/>
    </row>
    <row r="15" spans="1:12" ht="18" customHeight="1" x14ac:dyDescent="0.2">
      <c r="B15" s="10"/>
      <c r="D15" s="200" t="str">
        <f>"Zunahme der Wärmenachfrage bis "&amp;'Basis-Annahmen'!E5&amp;":"</f>
        <v>Zunahme der Wärmenachfrage bis 2040:</v>
      </c>
      <c r="E15" s="200"/>
      <c r="F15" s="200"/>
      <c r="G15" s="200"/>
      <c r="H15" s="200"/>
      <c r="I15" s="202" t="str">
        <f>""&amp;FIXED(E84*100,0,TRUE)&amp;" %"</f>
        <v>38 %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194</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2040</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5692792.7835120633</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5692792.7835120633</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2040:</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5692792.7835120633</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2040</v>
      </c>
      <c r="F77" s="175"/>
      <c r="G77" s="176"/>
      <c r="H77" s="192">
        <f>'Nachfrage &amp; Erzeugung'!$C$36</f>
        <v>2018</v>
      </c>
      <c r="I77" s="174">
        <f>'Basis-Annahmen'!E5</f>
        <v>2040</v>
      </c>
      <c r="J77" s="154"/>
      <c r="K77" s="154"/>
      <c r="L77" s="154"/>
    </row>
    <row r="78" spans="1:12" x14ac:dyDescent="0.2">
      <c r="A78" s="172"/>
      <c r="B78" s="172"/>
      <c r="C78" s="176" t="str">
        <f>'Nachfrage &amp; Erzeugung'!B38</f>
        <v>Private Haushalte</v>
      </c>
      <c r="D78" s="190">
        <f>'Nachfrage &amp; Erzeugung'!C38</f>
        <v>1810541.5900000003</v>
      </c>
      <c r="E78" s="190">
        <f>LOOKUP('Basis-Annahmen'!E5,'Nachfrage &amp; Erzeugung'!D36:G36,'Nachfrage &amp; Erzeugung'!D38:G38)</f>
        <v>1604405.9900000005</v>
      </c>
      <c r="F78" s="175"/>
      <c r="G78" s="175"/>
      <c r="H78" s="175"/>
      <c r="I78" s="175"/>
      <c r="J78" s="154"/>
      <c r="K78" s="154"/>
      <c r="L78" s="154"/>
    </row>
    <row r="79" spans="1:12" x14ac:dyDescent="0.2">
      <c r="A79" s="172"/>
      <c r="B79" s="172"/>
      <c r="C79" s="176" t="str">
        <f>'Nachfrage &amp; Erzeugung'!B39</f>
        <v>GHD / Industrie</v>
      </c>
      <c r="D79" s="190">
        <f>'Nachfrage &amp; Erzeugung'!C39</f>
        <v>2169002.39</v>
      </c>
      <c r="E79" s="190">
        <f>LOOKUP('Basis-Annahmen'!E5,'Nachfrage &amp; Erzeugung'!D36:G36,'Nachfrage &amp; Erzeugung'!D39:G39)</f>
        <v>3949808.9447230753</v>
      </c>
      <c r="F79" s="175"/>
      <c r="G79" s="176" t="s">
        <v>56</v>
      </c>
      <c r="H79" s="190">
        <f>'Nachfrage &amp; Erzeugung'!C46</f>
        <v>717711</v>
      </c>
      <c r="I79" s="190">
        <f>I40</f>
        <v>0</v>
      </c>
      <c r="J79" s="154"/>
      <c r="K79" s="154"/>
      <c r="L79" s="154"/>
    </row>
    <row r="80" spans="1:12" x14ac:dyDescent="0.2">
      <c r="A80" s="172"/>
      <c r="B80" s="172"/>
      <c r="C80" s="176" t="str">
        <f>'Nachfrage &amp; Erzeugung'!B40</f>
        <v>Kommunale Einrichtungen</v>
      </c>
      <c r="D80" s="190">
        <f>'Nachfrage &amp; Erzeugung'!C40</f>
        <v>132337.78999999998</v>
      </c>
      <c r="E80" s="190">
        <f>LOOKUP('Basis-Annahmen'!E5,'Nachfrage &amp; Erzeugung'!D36:G36,'Nachfrage &amp; Erzeugung'!D40:G40)</f>
        <v>138577.84878898758</v>
      </c>
      <c r="F80" s="175"/>
      <c r="G80" s="176" t="str">
        <f>'Nachfrage &amp; Erzeugung'!B47</f>
        <v>Nicht erneuerbare Wärmeerzeugung</v>
      </c>
      <c r="H80" s="190">
        <f>MAX(0,H82-H79)</f>
        <v>3398292</v>
      </c>
      <c r="I80" s="190">
        <f>MAX(0,I82-I79)</f>
        <v>5692792.7835120633</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4116003</v>
      </c>
      <c r="E82" s="190">
        <f>LOOKUP('Basis-Annahmen'!E5,'Nachfrage &amp; Erzeugung'!D36:G36,'Nachfrage &amp; Erzeugung'!D37:G37)</f>
        <v>5692792.7835120633</v>
      </c>
      <c r="F82" s="175"/>
      <c r="G82" s="176" t="s">
        <v>83</v>
      </c>
      <c r="H82" s="190">
        <f>'Nachfrage &amp; Erzeugung'!C37</f>
        <v>4116003</v>
      </c>
      <c r="I82" s="190">
        <f>LOOKUP('Basis-Annahmen'!E5,'Nachfrage &amp; Erzeugung'!D36:G36,'Nachfrage &amp; Erzeugung'!D37:G37)</f>
        <v>5692792.7835120633</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0.38308761765043986</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xr:uid="{08E1AB5D-4E02-4071-A4D6-D89176465147}"/>
    <hyperlink ref="B66" r:id="rId1" display="http://www.landkreis-muenchen.de/" xr:uid="{5500CB71-6230-4A9A-BAE4-B469568CF11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2ED26-8DC1-4731-9749-026C8625B1C3}">
  <sheetPr codeName="Tabelle7"/>
  <dimension ref="A1:N81"/>
  <sheetViews>
    <sheetView view="pageLayout" topLeftCell="A4"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2040</v>
      </c>
      <c r="D5" s="260"/>
      <c r="E5" s="260"/>
      <c r="F5" s="260"/>
      <c r="G5" s="260"/>
      <c r="H5" s="261">
        <f>LOOKUP('Basis-Annahmen'!E5,'Basis-Annahmen'!E33:I33,'Basis-Annahmen'!E34:I34)</f>
        <v>366960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2040</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3102166.6209979495</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620433.3241995899</v>
      </c>
      <c r="I12" s="265"/>
      <c r="J12" s="265"/>
      <c r="K12" s="177"/>
    </row>
    <row r="13" spans="1:14" ht="24.6" customHeight="1" x14ac:dyDescent="0.2">
      <c r="A13" s="14"/>
      <c r="B13" s="177"/>
      <c r="C13" s="259" t="s">
        <v>164</v>
      </c>
      <c r="D13" s="259"/>
      <c r="E13" s="259"/>
      <c r="F13" s="259"/>
      <c r="G13" s="259"/>
      <c r="H13" s="266">
        <f>H12/H5</f>
        <v>1.690738293545863</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2040</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5692792.7835120633</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1366270.2680428952</v>
      </c>
      <c r="I20" s="265"/>
      <c r="J20" s="265"/>
      <c r="K20" s="177"/>
    </row>
    <row r="21" spans="1:11" ht="24.6" customHeight="1" x14ac:dyDescent="0.2">
      <c r="A21" s="14"/>
      <c r="B21" s="177"/>
      <c r="C21" s="259" t="s">
        <v>164</v>
      </c>
      <c r="D21" s="259"/>
      <c r="E21" s="259"/>
      <c r="F21" s="259"/>
      <c r="G21" s="259"/>
      <c r="H21" s="266">
        <f>H20/H5</f>
        <v>3.723213069661258</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2040</v>
      </c>
      <c r="C23" s="217"/>
      <c r="D23" s="217"/>
      <c r="E23" s="217"/>
      <c r="F23" s="217"/>
      <c r="G23" s="217"/>
      <c r="H23" s="217"/>
      <c r="I23" s="217"/>
      <c r="J23" s="217"/>
      <c r="K23" s="217"/>
    </row>
    <row r="24" spans="1:11" ht="31.5" customHeight="1" x14ac:dyDescent="0.2">
      <c r="A24" s="14"/>
      <c r="B24" s="177"/>
      <c r="C24" s="267" t="s">
        <v>173</v>
      </c>
      <c r="D24" s="262"/>
      <c r="E24" s="262"/>
      <c r="F24" s="262"/>
      <c r="G24" s="262"/>
      <c r="H24" s="268">
        <v>1.4</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0</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2040</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1986703.5922424851</v>
      </c>
      <c r="I31" s="265"/>
      <c r="J31" s="265"/>
      <c r="K31" s="177"/>
    </row>
    <row r="32" spans="1:11" ht="24.6" customHeight="1" x14ac:dyDescent="0.2">
      <c r="A32" s="14"/>
      <c r="B32" s="177"/>
      <c r="C32" s="259" t="s">
        <v>164</v>
      </c>
      <c r="D32" s="259"/>
      <c r="E32" s="259"/>
      <c r="F32" s="259"/>
      <c r="G32" s="259"/>
      <c r="H32" s="266">
        <f>H27+H21+H13</f>
        <v>5.4139513632071212</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620433.3241995899</v>
      </c>
      <c r="E56" s="154"/>
      <c r="F56" s="154"/>
      <c r="G56" s="154"/>
      <c r="H56" s="154"/>
      <c r="I56" s="154"/>
      <c r="J56" s="154"/>
      <c r="K56" s="154"/>
    </row>
    <row r="57" spans="1:12" x14ac:dyDescent="0.2">
      <c r="C57" s="154" t="s">
        <v>72</v>
      </c>
      <c r="D57" s="183">
        <f>H20</f>
        <v>1366270.2680428952</v>
      </c>
      <c r="E57" s="154"/>
      <c r="F57" s="154"/>
      <c r="G57" s="154"/>
      <c r="H57" s="154"/>
      <c r="I57" s="154"/>
      <c r="J57" s="154"/>
      <c r="K57" s="154"/>
    </row>
    <row r="58" spans="1:12" x14ac:dyDescent="0.2">
      <c r="C58" s="154" t="s">
        <v>170</v>
      </c>
      <c r="D58" s="183">
        <f>H26</f>
        <v>0</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xr:uid="{10EC1565-D23C-4A97-B937-0C32FB92575B}"/>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82064-D7BD-4DCD-BA4B-685DC674F632}">
  <sheetPr codeName="Tabelle5"/>
  <dimension ref="A2:Z58"/>
  <sheetViews>
    <sheetView zoomScale="97" zoomScaleNormal="97" workbookViewId="0">
      <selection activeCell="H47" sqref="H47"/>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2040</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1.0929545619047947E-2</v>
      </c>
      <c r="F14" s="48">
        <v>0.05</v>
      </c>
      <c r="G14" s="48">
        <v>0.3</v>
      </c>
      <c r="H14" s="48">
        <v>0.6</v>
      </c>
      <c r="I14" s="52">
        <v>1</v>
      </c>
      <c r="J14" s="14"/>
    </row>
    <row r="15" spans="1:26" ht="30" customHeight="1" x14ac:dyDescent="0.2">
      <c r="A15" s="14"/>
      <c r="B15" s="281" t="s">
        <v>50</v>
      </c>
      <c r="C15" s="282"/>
      <c r="D15" s="282"/>
      <c r="E15" s="53">
        <f>E47/E45</f>
        <v>3.6545560453726075E-2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349500</v>
      </c>
      <c r="F34" s="69">
        <v>355120</v>
      </c>
      <c r="G34" s="69">
        <v>359400</v>
      </c>
      <c r="H34" s="69">
        <v>363180</v>
      </c>
      <c r="I34" s="70">
        <v>366960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1.6080114449213163E-2</v>
      </c>
      <c r="G36" s="67">
        <f>(G34-F34)/F34</f>
        <v>1.20522640234287E-2</v>
      </c>
      <c r="H36" s="67">
        <f>(H34-G34)/G34</f>
        <v>1.0517529215358931E-2</v>
      </c>
      <c r="I36" s="68">
        <f>(I34-H34)/H34</f>
        <v>1.0408062117958037E-2</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44</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0.8301316165951359</v>
      </c>
      <c r="F44" s="73">
        <f>E44*(1+(F13*(F43-E43)))</f>
        <v>0.8301316165951359</v>
      </c>
      <c r="G44" s="73">
        <f t="shared" ref="G44:I44" si="0">F44*(1+(G13*(G43-F43)))</f>
        <v>0.8301316165951359</v>
      </c>
      <c r="H44" s="73">
        <f t="shared" si="0"/>
        <v>0.8301316165951359</v>
      </c>
      <c r="I44" s="188">
        <f t="shared" si="0"/>
        <v>0.8301316165951359</v>
      </c>
      <c r="J44" s="14"/>
    </row>
    <row r="45" spans="1:10" ht="19.5" customHeight="1" x14ac:dyDescent="0.2">
      <c r="A45" s="14"/>
      <c r="B45" s="271" t="s">
        <v>4</v>
      </c>
      <c r="C45" s="272"/>
      <c r="D45" s="272"/>
      <c r="E45" s="69">
        <v>290131</v>
      </c>
      <c r="F45" s="36">
        <f>F44*F34</f>
        <v>294796.33968526468</v>
      </c>
      <c r="G45" s="36">
        <f t="shared" ref="G45:I45" si="1">G44*G34</f>
        <v>298349.30300429184</v>
      </c>
      <c r="H45" s="36">
        <f t="shared" si="1"/>
        <v>301487.20051502145</v>
      </c>
      <c r="I45" s="74">
        <f t="shared" si="1"/>
        <v>304625.09802575107</v>
      </c>
      <c r="J45" s="14"/>
    </row>
    <row r="46" spans="1:10" ht="19.5" customHeight="1" x14ac:dyDescent="0.2">
      <c r="A46" s="14"/>
      <c r="B46" s="271" t="s">
        <v>2</v>
      </c>
      <c r="C46" s="272"/>
      <c r="D46" s="272"/>
      <c r="E46" s="69">
        <v>3171</v>
      </c>
      <c r="F46" s="36">
        <f>F$45*F$14</f>
        <v>14739.816984263234</v>
      </c>
      <c r="G46" s="36">
        <f>G$45*G$14</f>
        <v>89504.790901287546</v>
      </c>
      <c r="H46" s="36">
        <f>H$45*H$14</f>
        <v>180892.32030901287</v>
      </c>
      <c r="I46" s="74">
        <f>I$45*I$14</f>
        <v>304625.09802575107</v>
      </c>
      <c r="J46" s="14"/>
    </row>
    <row r="47" spans="1:10" ht="19.5" customHeight="1" x14ac:dyDescent="0.2">
      <c r="A47" s="14"/>
      <c r="B47" s="269" t="s">
        <v>3</v>
      </c>
      <c r="C47" s="270"/>
      <c r="D47" s="270"/>
      <c r="E47" s="75">
        <v>10603</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xr:uid="{6321E025-A9E3-4885-BE4B-A55E36AF48FE}">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F360B-2785-4CA2-9957-DD5D76B0A055}">
  <sheetPr codeName="Tabelle3"/>
  <dimension ref="A2:J271"/>
  <sheetViews>
    <sheetView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1980564.5700000003</v>
      </c>
      <c r="D10" s="94">
        <f>D11+D12+D13+D14+D15</f>
        <v>2005973.0532325648</v>
      </c>
      <c r="E10" s="94">
        <f>E11+E12+E13+E14+D15</f>
        <v>2381472.070945465</v>
      </c>
      <c r="F10" s="94">
        <f>F11+F12+F13+F14+D15</f>
        <v>2829003.2967810952</v>
      </c>
      <c r="G10" s="95">
        <f>G11+G12+G13+G14+D15</f>
        <v>3398640.6209979495</v>
      </c>
      <c r="H10" s="14"/>
    </row>
    <row r="11" spans="1:8" ht="19.5" customHeight="1" x14ac:dyDescent="0.2">
      <c r="B11" s="88" t="s">
        <v>6</v>
      </c>
      <c r="C11" s="96">
        <v>430956.67</v>
      </c>
      <c r="D11" s="97">
        <f>C11/'Basis-Annahmen'!E34*((1-'Basis-Annahmen'!F19)^(D9-C9))*'Basis-Annahmen'!F34</f>
        <v>393926.47711936658</v>
      </c>
      <c r="E11" s="97">
        <f>D11/'Basis-Annahmen'!F34*((1-'Basis-Annahmen'!G19)^5)*'Basis-Annahmen'!G34</f>
        <v>369657.28157016513</v>
      </c>
      <c r="F11" s="97">
        <f>E11/'Basis-Annahmen'!G34*((1-'Basis-Annahmen'!H19)^5)*'Basis-Annahmen'!H34</f>
        <v>346357.23935367103</v>
      </c>
      <c r="G11" s="98">
        <f>F11/'Basis-Annahmen'!H34*((1-'Basis-Annahmen'!I19)^5)*'Basis-Annahmen'!I34</f>
        <v>324490.67791641824</v>
      </c>
      <c r="H11" s="14"/>
    </row>
    <row r="12" spans="1:8" ht="19.5" customHeight="1" x14ac:dyDescent="0.2">
      <c r="B12" s="88" t="s">
        <v>104</v>
      </c>
      <c r="C12" s="96">
        <v>1452310.3299999998</v>
      </c>
      <c r="D12" s="97">
        <f>((1-'Basis-Annahmen'!F20)^(D9-C9))*((1+'Basis-Annahmen'!F9)^(D9-C9))*C12</f>
        <v>1523502.0427575312</v>
      </c>
      <c r="E12" s="97">
        <f>((1-'Basis-Annahmen'!G20)^5)*((1+'Basis-Annahmen'!G9)^5)*D12</f>
        <v>1702201.4687987729</v>
      </c>
      <c r="F12" s="97">
        <f>((1-'Basis-Annahmen'!H20)^5)*((1+'Basis-Annahmen'!H9)^5)*E12</f>
        <v>1901861.473802987</v>
      </c>
      <c r="G12" s="98">
        <f>((1-'Basis-Annahmen'!I20)^5)*((1+'Basis-Annahmen'!I9)^5)*F12</f>
        <v>2124940.6323733269</v>
      </c>
      <c r="H12" s="14"/>
    </row>
    <row r="13" spans="1:8" ht="19.5" customHeight="1" x14ac:dyDescent="0.2">
      <c r="B13" s="88" t="s">
        <v>7</v>
      </c>
      <c r="C13" s="96">
        <v>54858.940000000017</v>
      </c>
      <c r="D13" s="97">
        <f>C13*((1-'Basis-Annahmen'!F20)^(D9-C9))</f>
        <v>44325.082402877335</v>
      </c>
      <c r="E13" s="97">
        <f>D13*((1-'Basis-Annahmen'!G20)^5)</f>
        <v>41098.947872664037</v>
      </c>
      <c r="F13" s="97">
        <f>E13*((1-'Basis-Annahmen'!H20)^5)</f>
        <v>38107.622697398692</v>
      </c>
      <c r="G13" s="98">
        <f>F13*((1-'Basis-Annahmen'!I20)^5)</f>
        <v>35334.016630950922</v>
      </c>
      <c r="H13" s="14"/>
    </row>
    <row r="14" spans="1:8" ht="19.5" customHeight="1" x14ac:dyDescent="0.2">
      <c r="B14" s="88" t="s">
        <v>8</v>
      </c>
      <c r="C14" s="96"/>
      <c r="D14" s="97">
        <f>'Basis-Annahmen'!F46*'Basis-Annahmen'!F51+'Basis-Annahmen'!F47*'Basis-Annahmen'!F52</f>
        <v>44219.450952789703</v>
      </c>
      <c r="E14" s="97">
        <f>'Basis-Annahmen'!G46*'Basis-Annahmen'!G51+'Basis-Annahmen'!G47*'Basis-Annahmen'!G52</f>
        <v>268514.37270386261</v>
      </c>
      <c r="F14" s="97">
        <f>'Basis-Annahmen'!H46*'Basis-Annahmen'!H51+'Basis-Annahmen'!H47*'Basis-Annahmen'!H52</f>
        <v>542676.96092703857</v>
      </c>
      <c r="G14" s="98">
        <f>'Basis-Annahmen'!I46*'Basis-Annahmen'!I51+'Basis-Annahmen'!I47*'Basis-Annahmen'!I52</f>
        <v>913875.2940772532</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1.2828909300626599E-2</v>
      </c>
      <c r="E16" s="101">
        <f>(E10-$C$10)/$C$10</f>
        <v>0.20242081829498981</v>
      </c>
      <c r="F16" s="101">
        <f t="shared" ref="F16" si="0">(F10-$C$10)/$C$10</f>
        <v>0.42838226010530661</v>
      </c>
      <c r="G16" s="102">
        <f>(G10-$C$10)/$C$10</f>
        <v>0.71599586929798964</v>
      </c>
      <c r="H16" s="14"/>
    </row>
    <row r="17" spans="1:10" ht="19.5" customHeight="1" x14ac:dyDescent="0.2">
      <c r="B17" s="89" t="s">
        <v>97</v>
      </c>
      <c r="C17" s="107"/>
      <c r="D17" s="104">
        <f>D14/D10</f>
        <v>2.2043890809765064E-2</v>
      </c>
      <c r="E17" s="104">
        <f>E14/E10</f>
        <v>0.11275142630468057</v>
      </c>
      <c r="F17" s="104">
        <f>F14/F10</f>
        <v>0.19182620308166798</v>
      </c>
      <c r="G17" s="105">
        <f>G14/G10</f>
        <v>0.26889435983052251</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296474</v>
      </c>
      <c r="G21" s="111"/>
    </row>
    <row r="22" spans="1:10" s="14" customFormat="1" ht="19.5" customHeight="1" x14ac:dyDescent="0.2">
      <c r="B22" s="110" t="s">
        <v>14</v>
      </c>
      <c r="C22" s="122">
        <v>53525</v>
      </c>
      <c r="D22" s="112"/>
      <c r="E22" s="112"/>
      <c r="G22" s="82"/>
    </row>
    <row r="23" spans="1:10" s="14" customFormat="1" ht="19.5" customHeight="1" x14ac:dyDescent="0.2">
      <c r="B23" s="110" t="s">
        <v>15</v>
      </c>
      <c r="C23" s="122">
        <v>77834</v>
      </c>
      <c r="D23" s="112"/>
      <c r="E23" s="112"/>
      <c r="G23" s="82"/>
      <c r="J23" s="146"/>
    </row>
    <row r="24" spans="1:10" s="14" customFormat="1" ht="19.5" customHeight="1" x14ac:dyDescent="0.2">
      <c r="B24" s="110" t="s">
        <v>16</v>
      </c>
      <c r="C24" s="122">
        <v>112238</v>
      </c>
      <c r="D24" s="112"/>
      <c r="E24" s="112"/>
      <c r="G24" s="82"/>
    </row>
    <row r="25" spans="1:10" s="14" customFormat="1" ht="19.5" customHeight="1" x14ac:dyDescent="0.2">
      <c r="B25" s="110" t="s">
        <v>21</v>
      </c>
      <c r="C25" s="122">
        <v>0</v>
      </c>
      <c r="D25" s="112"/>
      <c r="E25" s="112"/>
      <c r="G25" s="82"/>
    </row>
    <row r="26" spans="1:10" s="14" customFormat="1" ht="19.5" customHeight="1" x14ac:dyDescent="0.2">
      <c r="B26" s="110" t="s">
        <v>17</v>
      </c>
      <c r="C26" s="122">
        <v>52877</v>
      </c>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1684090.5700000003</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4116003</v>
      </c>
      <c r="D37" s="94">
        <f>SUM(D38:D40)</f>
        <v>4509096.9556525778</v>
      </c>
      <c r="E37" s="94">
        <f>SUM(E38:E40)</f>
        <v>4847408.2027834589</v>
      </c>
      <c r="F37" s="94">
        <f t="shared" ref="F37:G37" si="1">SUM(F38:F40)</f>
        <v>5238068.9305612752</v>
      </c>
      <c r="G37" s="95">
        <f t="shared" si="1"/>
        <v>5692792.7835120633</v>
      </c>
      <c r="H37" s="14"/>
    </row>
    <row r="38" spans="1:8" ht="19.5" customHeight="1" x14ac:dyDescent="0.2">
      <c r="A38" s="14"/>
      <c r="B38" s="113" t="s">
        <v>6</v>
      </c>
      <c r="C38" s="96">
        <v>1810541.5900000003</v>
      </c>
      <c r="D38" s="97">
        <f>C38-((('Basis-Annahmen'!$E$40*'Basis-Annahmen'!$E$34*Ausbauziel_Wärme!F$22*(D36-C36))*('Basis-Annahmen'!$E$30-'Basis-Annahmen'!F$29))/1000)+((IF('Basis-Annahmen'!F$34-'Basis-Annahmen'!E$34&lt;0,0,('Basis-Annahmen'!F$34-'Basis-Annahmen'!E$34)*('Basis-Annahmen'!$E$40*'Basis-Annahmen'!F28/1000))))</f>
        <v>1750026.1900000004</v>
      </c>
      <c r="E38" s="97">
        <f>D38-((('Basis-Annahmen'!$E$40*'Basis-Annahmen'!$E$34*Ausbauziel_Wärme!G$22*5)*('Basis-Annahmen'!$E$30-'Basis-Annahmen'!G$29))/1000)+((IF('Basis-Annahmen'!G$34-'Basis-Annahmen'!F$34&lt;0,0,('Basis-Annahmen'!G$34-'Basis-Annahmen'!F$34)*('Basis-Annahmen'!$E$40*'Basis-Annahmen'!G28/1000))))</f>
        <v>1703735.9900000005</v>
      </c>
      <c r="F38" s="97">
        <f>E38-((('Basis-Annahmen'!$E$40*'Basis-Annahmen'!$E$34*Ausbauziel_Wärme!H$22*5)*('Basis-Annahmen'!$E$30-'Basis-Annahmen'!H$29))/1000)+((IF('Basis-Annahmen'!H$34-'Basis-Annahmen'!G$34&lt;0,0,('Basis-Annahmen'!H$34-'Basis-Annahmen'!G$34)*('Basis-Annahmen'!$E$40*'Basis-Annahmen'!H28/1000))))</f>
        <v>1654070.9900000005</v>
      </c>
      <c r="G38" s="98">
        <f>F38-((('Basis-Annahmen'!$E$40*'Basis-Annahmen'!$E$34*Ausbauziel_Wärme!I$22*5)*('Basis-Annahmen'!$E$30-'Basis-Annahmen'!I$29))/1000)+((IF('Basis-Annahmen'!I$34-'Basis-Annahmen'!H$34&lt;0,0,('Basis-Annahmen'!I$34-'Basis-Annahmen'!H$34)*('Basis-Annahmen'!$E$40*'Basis-Annahmen'!I28/1000))))</f>
        <v>1604405.9900000005</v>
      </c>
      <c r="H38" s="14"/>
    </row>
    <row r="39" spans="1:8" ht="19.5" customHeight="1" x14ac:dyDescent="0.2">
      <c r="A39" s="14"/>
      <c r="B39" s="113" t="s">
        <v>104</v>
      </c>
      <c r="C39" s="96">
        <v>2169002.39</v>
      </c>
      <c r="D39" s="97">
        <f>C39*((1-'Basis-Annahmen'!F$24)^(D36-C36))*((1+'Basis-Annahmen'!F$9)^(D36-C36))</f>
        <v>2624749.5342456531</v>
      </c>
      <c r="E39" s="97">
        <f>((1-'Basis-Annahmen'!G$24)^5)*((1+'Basis-Annahmen'!G$9)^5)*'Nachfrage &amp; Erzeugung'!D39</f>
        <v>3007811.4474119316</v>
      </c>
      <c r="F39" s="97">
        <f>((1-'Basis-Annahmen'!H$24)^5)*((1+'Basis-Annahmen'!H$9)^5)*'Nachfrage &amp; Erzeugung'!E39</f>
        <v>3446778.2868975061</v>
      </c>
      <c r="G39" s="98">
        <f>((1-'Basis-Annahmen'!I$24)^5)*((1+'Basis-Annahmen'!I$9)^5)*'Nachfrage &amp; Erzeugung'!F39</f>
        <v>3949808.9447230753</v>
      </c>
      <c r="H39" s="14"/>
    </row>
    <row r="40" spans="1:8" ht="19.5" customHeight="1" x14ac:dyDescent="0.2">
      <c r="A40" s="14"/>
      <c r="B40" s="113" t="s">
        <v>7</v>
      </c>
      <c r="C40" s="96">
        <v>132337.78999999998</v>
      </c>
      <c r="D40" s="97">
        <f>C40+(C40*'Basis-Annahmen'!F36)*((1-'Basis-Annahmen'!F24)^(D36-C36))</f>
        <v>134321.23140692434</v>
      </c>
      <c r="E40" s="97">
        <f>D40+(D40*'Basis-Annahmen'!G36)*((1-'Basis-Annahmen'!G24)^5)</f>
        <v>135860.76537152653</v>
      </c>
      <c r="F40" s="97">
        <f>E40+(E40*'Basis-Annahmen'!H36)*((1-'Basis-Annahmen'!H24)^5)</f>
        <v>137219.6536637682</v>
      </c>
      <c r="G40" s="98">
        <f>F40+(F40*'Basis-Annahmen'!I36)*((1-'Basis-Annahmen'!I24)^5)</f>
        <v>138577.84878898758</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9.5503806885606696E-2</v>
      </c>
      <c r="E42" s="104">
        <f>(E37-$C$37)/$C$37</f>
        <v>0.17769792752421679</v>
      </c>
      <c r="F42" s="104">
        <f>(F37-$C$37)/$C$37</f>
        <v>0.27261057160582131</v>
      </c>
      <c r="G42" s="105">
        <f>(G37-$C$37)/$C$37</f>
        <v>0.38308761765043986</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717711</v>
      </c>
      <c r="D46" s="117"/>
      <c r="E46" s="100"/>
      <c r="F46" s="100"/>
      <c r="G46" s="82"/>
      <c r="H46" s="14"/>
    </row>
    <row r="47" spans="1:8" ht="19.5" customHeight="1" x14ac:dyDescent="0.2">
      <c r="A47" s="72"/>
      <c r="B47" s="124" t="s">
        <v>76</v>
      </c>
      <c r="C47" s="125">
        <f>IF(C37-C46&lt;0,0,C37-C46)</f>
        <v>3398292</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c r="C52" s="167">
        <v>0</v>
      </c>
      <c r="D52" s="167">
        <v>0</v>
      </c>
      <c r="E52" s="167">
        <v>0</v>
      </c>
      <c r="F52" s="168">
        <f>1-D52</f>
        <v>1</v>
      </c>
      <c r="G52" s="95"/>
      <c r="H52" s="14"/>
    </row>
    <row r="53" spans="1:8" ht="19.5" customHeight="1" x14ac:dyDescent="0.2">
      <c r="A53" s="14"/>
      <c r="B53" s="166"/>
      <c r="C53" s="167">
        <v>0</v>
      </c>
      <c r="D53" s="167">
        <v>0</v>
      </c>
      <c r="E53" s="167">
        <v>0</v>
      </c>
      <c r="F53" s="168">
        <f t="shared" ref="F53:F68" si="2">1-D53</f>
        <v>1</v>
      </c>
      <c r="G53" s="95"/>
      <c r="H53" s="14"/>
    </row>
    <row r="54" spans="1:8" ht="19.5" customHeight="1" x14ac:dyDescent="0.2">
      <c r="A54" s="14"/>
      <c r="B54" s="166"/>
      <c r="C54" s="167">
        <v>0</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0</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0</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038DE-BC6C-4B76-8E90-892CBF8FDC8F}">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5715000</v>
      </c>
      <c r="E9" s="131" t="s">
        <v>13</v>
      </c>
    </row>
    <row r="10" spans="1:6" s="130" customFormat="1" ht="19.5" customHeight="1" x14ac:dyDescent="0.25">
      <c r="B10" s="295" t="s">
        <v>129</v>
      </c>
      <c r="C10" s="296"/>
      <c r="D10" s="96">
        <v>635</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1031021.0367075</v>
      </c>
      <c r="E14" s="133" t="s">
        <v>13</v>
      </c>
    </row>
    <row r="15" spans="1:6" s="130" customFormat="1" ht="19.5" customHeight="1" x14ac:dyDescent="0.25">
      <c r="B15" s="297" t="s">
        <v>151</v>
      </c>
      <c r="C15" s="298"/>
      <c r="D15" s="173">
        <v>6873473.5780500006</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3905280</v>
      </c>
      <c r="E21" s="133" t="s">
        <v>13</v>
      </c>
    </row>
    <row r="22" spans="2:6" s="132" customFormat="1" ht="19.5" customHeight="1" x14ac:dyDescent="0.25">
      <c r="B22" s="297" t="s">
        <v>150</v>
      </c>
      <c r="C22" s="298"/>
      <c r="D22" s="96">
        <v>5424</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C866DF85-51DC-4890-B725-552665C235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Philipp</cp:lastModifiedBy>
  <cp:lastPrinted>2023-01-23T15:47:50Z</cp:lastPrinted>
  <dcterms:created xsi:type="dcterms:W3CDTF">2022-05-10T08:02:21Z</dcterms:created>
  <dcterms:modified xsi:type="dcterms:W3CDTF">2025-01-13T15:48:36Z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